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ol-file01\H0000\H0021_P_Greene County Trails Master Plan\06 Task_Maintenance Plan for Prioritized Projects\Cost Estimate\"/>
    </mc:Choice>
  </mc:AlternateContent>
  <xr:revisionPtr revIDLastSave="0" documentId="13_ncr:1_{73D6C2D4-4190-49DA-AE5F-691F96E492FB}" xr6:coauthVersionLast="45" xr6:coauthVersionMax="45" xr10:uidLastSave="{00000000-0000-0000-0000-000000000000}"/>
  <bookViews>
    <workbookView xWindow="28680" yWindow="-120" windowWidth="29040" windowHeight="15840" tabRatio="818" xr2:uid="{00000000-000D-0000-FFFF-FFFF00000000}"/>
  </bookViews>
  <sheets>
    <sheet name="Conceptual Estimate" sheetId="2" r:id="rId1"/>
    <sheet name="Trail Quantities" sheetId="12" r:id="rId2"/>
    <sheet name="Calcs" sheetId="11" r:id="rId3"/>
    <sheet name="Intersection - One Leg" sheetId="7" r:id="rId4"/>
    <sheet name="Intersection - Two Legs" sheetId="10" r:id="rId5"/>
    <sheet name="Pedestrian -Signal 1 Leg" sheetId="13" r:id="rId6"/>
  </sheets>
  <definedNames>
    <definedName name="_xlnm.Print_Area" localSheetId="3">'Intersection - One Leg'!$A$1:$G$14</definedName>
    <definedName name="_xlnm.Print_Area" localSheetId="4">'Intersection - Two Legs'!$A$1:$G$20</definedName>
    <definedName name="_xlnm.Print_Area" localSheetId="5">'Pedestrian -Signal 1 Leg'!$A$1:$G$22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4" i="2" l="1"/>
  <c r="F22" i="2"/>
  <c r="F21" i="2"/>
  <c r="F18" i="2"/>
  <c r="F17" i="2"/>
  <c r="F19" i="2"/>
  <c r="F13" i="2"/>
  <c r="F10" i="2"/>
  <c r="F9" i="2"/>
  <c r="F8" i="2"/>
  <c r="F15" i="2" l="1"/>
  <c r="G10" i="11" l="1"/>
  <c r="E7" i="2" s="1"/>
  <c r="D7" i="2"/>
  <c r="F15" i="13"/>
  <c r="F12" i="13"/>
  <c r="F13" i="13"/>
  <c r="F10" i="13"/>
  <c r="F11" i="13"/>
  <c r="D4" i="2"/>
  <c r="F7" i="2" l="1"/>
  <c r="I8" i="12" l="1"/>
  <c r="I7" i="12"/>
  <c r="E10" i="10"/>
  <c r="E8" i="7"/>
  <c r="E30" i="7"/>
  <c r="D8" i="7" s="1"/>
  <c r="D10" i="10" s="1"/>
  <c r="F8" i="7" l="1"/>
  <c r="G3" i="12"/>
  <c r="I3" i="12" s="1"/>
  <c r="G6" i="12"/>
  <c r="I6" i="12" s="1"/>
  <c r="H5" i="12"/>
  <c r="I5" i="12" s="1"/>
  <c r="H4" i="12"/>
  <c r="I4" i="12" s="1"/>
  <c r="H2" i="12"/>
  <c r="I2" i="12" s="1"/>
  <c r="I10" i="12" s="1"/>
  <c r="I11" i="12" s="1"/>
  <c r="E23" i="7" l="1"/>
  <c r="F23" i="7" s="1"/>
  <c r="E22" i="7"/>
  <c r="F22" i="7" l="1"/>
  <c r="F24" i="7" s="1"/>
  <c r="D9" i="7" s="1"/>
  <c r="D11" i="10" l="1"/>
  <c r="F9" i="7"/>
  <c r="F11" i="7" s="1"/>
  <c r="D5" i="2" s="1"/>
  <c r="F5" i="2" s="1"/>
  <c r="E10" i="11"/>
  <c r="F10" i="11"/>
  <c r="D10" i="11"/>
  <c r="E4" i="2" s="1"/>
  <c r="F4" i="2" l="1"/>
  <c r="F11" i="10"/>
  <c r="E6" i="2"/>
  <c r="F10" i="10" l="1"/>
  <c r="F13" i="10" s="1"/>
  <c r="D6" i="2" s="1"/>
  <c r="F6" i="2" s="1"/>
  <c r="F11" i="2" s="1"/>
  <c r="F12" i="2" l="1"/>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tc={5ACC8924-5782-4A80-8595-A89D9F727870}</author>
  </authors>
  <commentList>
    <comment ref="D22" authorId="0" shapeId="0" xr:uid="{5ACC8924-5782-4A80-8595-A89D9F727870}">
      <text>
        <t>[Threaded comment]
Your version of Excel allows you to read this threaded comment; however, any edits to it will get removed if the file is opened in a newer version of Excel. Learn more: https://go.microsoft.com/fwlink/?linkid=870924
Comment:
    The way ODOT pays for ramps is by including the landing area + the ramp. I would assumpt a 7-8' ramp + 5' landing area = 13' total length</t>
      </text>
    </comment>
  </commentList>
</comments>
</file>

<file path=xl/sharedStrings.xml><?xml version="1.0" encoding="utf-8"?>
<sst xmlns="http://schemas.openxmlformats.org/spreadsheetml/2006/main" count="208" uniqueCount="133">
  <si>
    <t>Assumptions</t>
  </si>
  <si>
    <t>Item</t>
  </si>
  <si>
    <t>Unit</t>
  </si>
  <si>
    <t>Units</t>
  </si>
  <si>
    <t>Unit Cost</t>
  </si>
  <si>
    <t>Source</t>
  </si>
  <si>
    <t>EA</t>
  </si>
  <si>
    <t>Contingency</t>
  </si>
  <si>
    <t>Quantity</t>
  </si>
  <si>
    <t>Cost</t>
  </si>
  <si>
    <t>% Construction</t>
  </si>
  <si>
    <t>Cost per/Intersection</t>
  </si>
  <si>
    <t>Curb Ramps &amp; Detectable Warnings</t>
  </si>
  <si>
    <t>Totals</t>
  </si>
  <si>
    <t>Cost Data Source</t>
  </si>
  <si>
    <t xml:space="preserve">Unit Cost </t>
  </si>
  <si>
    <t>Conceptual Design Opinion of Probable Construction*</t>
  </si>
  <si>
    <t>Curb Ramp</t>
  </si>
  <si>
    <t>608E52000</t>
  </si>
  <si>
    <t>SQ F</t>
  </si>
  <si>
    <t>CURB RAMP</t>
  </si>
  <si>
    <t>608E53020</t>
  </si>
  <si>
    <t>DETECTABLE WARNING</t>
  </si>
  <si>
    <t>FROM ODOT:</t>
  </si>
  <si>
    <t>Average Bid</t>
  </si>
  <si>
    <t>Average Award</t>
  </si>
  <si>
    <t xml:space="preserve">Rough Estimate for a Curb Ramp </t>
  </si>
  <si>
    <t>12' (b/c path is 12')</t>
  </si>
  <si>
    <t>Width</t>
  </si>
  <si>
    <t>Length</t>
  </si>
  <si>
    <t>Detectable Warning Strip</t>
  </si>
  <si>
    <t>2020 ODOT</t>
  </si>
  <si>
    <t>See calcs below</t>
  </si>
  <si>
    <t>FT</t>
  </si>
  <si>
    <t>CROSSWALK LINE</t>
  </si>
  <si>
    <t>646E10501</t>
  </si>
  <si>
    <t>CROSSWALK LINE, AS PER PLAN</t>
  </si>
  <si>
    <t>2020 ODOT ( $13.16 LF) * (22' typical 2-lane road)</t>
  </si>
  <si>
    <t>Curb Ramps (assume 2 per intersection)</t>
  </si>
  <si>
    <t>Assume high visibility crosswalks for one approach  (assume average side streets are 2 lanes 12' each)</t>
  </si>
  <si>
    <t>Engineering Design -PM, Survey, Design</t>
  </si>
  <si>
    <t xml:space="preserve">Construction Subtotal </t>
  </si>
  <si>
    <t>Total Costs</t>
  </si>
  <si>
    <t>Rough Estimate for Crosswalk</t>
  </si>
  <si>
    <t>Indian Ripple Rd</t>
  </si>
  <si>
    <t>Dayton-Xenia Rd</t>
  </si>
  <si>
    <t>Intersection - One Leg</t>
  </si>
  <si>
    <t>Intersection - Two Legs</t>
  </si>
  <si>
    <t>See Intersection - One Leg Cost Sheet for Individual Sources</t>
  </si>
  <si>
    <t>See Intersection - Two Legs Sheet for Individual Sources</t>
  </si>
  <si>
    <t>Ankeney Rd</t>
  </si>
  <si>
    <t>S of Fairground</t>
  </si>
  <si>
    <t>Rolling Meadows Dr</t>
  </si>
  <si>
    <t>New Germany Trebien Rd</t>
  </si>
  <si>
    <t>Vanderlyn Ct</t>
  </si>
  <si>
    <t xml:space="preserve"> Oaks Quarry Park</t>
  </si>
  <si>
    <t>Segments by Segment split by E/W Intersection Crossings*</t>
  </si>
  <si>
    <t>* Number of two leg intersection crossings are based on available ROW from Greene County Auditor Online Map, but should be evaluated in design phase.</t>
  </si>
  <si>
    <t>Length** (LF)</t>
  </si>
  <si>
    <t>Intersection - One Leg** (EA)</t>
  </si>
  <si>
    <t>Intersection - Two Legs** (EA)</t>
  </si>
  <si>
    <t>** Quantities tracked in KML file</t>
  </si>
  <si>
    <t>*Actual costs may vary based on project scope and current market conditions.</t>
  </si>
  <si>
    <t>Intersection Cost - One Leg*</t>
  </si>
  <si>
    <t>*ctual costs may vary based on project scope and current market conditions.</t>
  </si>
  <si>
    <t>Intersection Costs - Two Legs*</t>
  </si>
  <si>
    <t>Area (SF)</t>
  </si>
  <si>
    <t>441E10000</t>
  </si>
  <si>
    <t>CU Y</t>
  </si>
  <si>
    <t>ASPHALT CONCRETE SURFACE COURSE, TYPE 1, (446), PG64-22</t>
  </si>
  <si>
    <t>UNIT</t>
  </si>
  <si>
    <t>DESC</t>
  </si>
  <si>
    <t>441E50300</t>
  </si>
  <si>
    <t>ASPHALT CONCRETE INTERMEDIATE COURSE, TYPE 2, (448)</t>
  </si>
  <si>
    <t>304E20000</t>
  </si>
  <si>
    <t>AGGREGATE BASE</t>
  </si>
  <si>
    <t>Depth (IN)</t>
  </si>
  <si>
    <t>407E20000</t>
  </si>
  <si>
    <t>GALL</t>
  </si>
  <si>
    <t>TACK COAT, TRACKLESS TACK, INTERMEDIATE COURSE</t>
  </si>
  <si>
    <t>204E10000</t>
  </si>
  <si>
    <t>SQ Y</t>
  </si>
  <si>
    <t>SUBGRADE COMPACTION</t>
  </si>
  <si>
    <t>Area (SY per LF)</t>
  </si>
  <si>
    <t>Volume (CY per LF)</t>
  </si>
  <si>
    <t>12' wide crosswalk marking</t>
  </si>
  <si>
    <t>MOBILIZATION</t>
  </si>
  <si>
    <t>CLEARING AND GRUBBING</t>
  </si>
  <si>
    <t>MAINTAINING TRAFFIC</t>
  </si>
  <si>
    <t>DRAINAGE</t>
  </si>
  <si>
    <t>ENVIRONMENTAL</t>
  </si>
  <si>
    <t xml:space="preserve">Total Construction Costs: </t>
  </si>
  <si>
    <t>203E10000</t>
  </si>
  <si>
    <t>EXCAVATION</t>
  </si>
  <si>
    <t>203E20000</t>
  </si>
  <si>
    <t>EMBANKMENT</t>
  </si>
  <si>
    <t>Estimate based on similar project work</t>
  </si>
  <si>
    <t>Varies</t>
  </si>
  <si>
    <t>Width (FT)</t>
  </si>
  <si>
    <t>Notes</t>
  </si>
  <si>
    <t>AVG AWD Price (2020)</t>
  </si>
  <si>
    <t>ODOT ITEM</t>
  </si>
  <si>
    <t>Cost (per LF)</t>
  </si>
  <si>
    <t>Sidepath cost per LF</t>
  </si>
  <si>
    <t>Sidepath cost per mile</t>
  </si>
  <si>
    <t>Assume 12' wide path</t>
  </si>
  <si>
    <t>UTILITY RELOCATION</t>
  </si>
  <si>
    <t>LANDSCAPING</t>
  </si>
  <si>
    <t>MILE</t>
  </si>
  <si>
    <t>Materials and earthwork</t>
  </si>
  <si>
    <t>Curb ramps and markings</t>
  </si>
  <si>
    <t>SURVEY AND STAKING</t>
  </si>
  <si>
    <t>SIDEPATH</t>
  </si>
  <si>
    <t>% Cost</t>
  </si>
  <si>
    <t>EROSION CONTROL</t>
  </si>
  <si>
    <t>*Opinions of probable cost were developed by identifying major pay items and establishing rough quantities to determine a rough order of magnitude cost. Additional pay items have been assigned approximate lump sum prices based on a percentage of the anticipated construction cost; however, these costs can vary widely depending on the exact details and nature of the work. Planning-level cost opinions include a 30% contingency to cover items that are undefined or are typically unknown early in the planning phase of a project. Unit costs were pulled from 2020 ODOT Bid data. Cost opinions do not include permitting, inspection, or construction management; geotechnical investigation, special site remediation, escalation, or the cost for ongoing maintenance. The overall cost opinions are intended to be general and used only for planning purposes. Toole Design Group, LLC makes no guarantees or warranties regarding the cost estimate herein. Construction costs will vary based on the ultimate project scope, actual site conditions and constraints, schedule, and economic conditions at the time of construction.</t>
  </si>
  <si>
    <t>Estimate assumes that pedestrians signal heads and pushbuttons could be installed without additional signal upgrades.</t>
  </si>
  <si>
    <t>PEDESTRIAN SIGNAL HEAD (LED) , (COUNTDOWN), TYPE D2</t>
  </si>
  <si>
    <t>ACCESSIBLE PEDESTRIAN PUSHBUTTON</t>
  </si>
  <si>
    <t>PEDESTAL FOUNDATION</t>
  </si>
  <si>
    <t>PEDESTAL, 8'</t>
  </si>
  <si>
    <t>2021 ODOT</t>
  </si>
  <si>
    <t>See Intersection - Signalized One Leg Sheet for Individual Sources</t>
  </si>
  <si>
    <t>Signalized Intersection - One Leg** (EA)</t>
  </si>
  <si>
    <t>*Notes: Signal changes should be evaluated when roadway is evaluated for expansion. During the planning process it was identified that ROW may be necessary but not included in this estimate.</t>
  </si>
  <si>
    <t>UNIT COST ESTIMATE CALUCATIONS</t>
  </si>
  <si>
    <t>632E20730</t>
  </si>
  <si>
    <t>632E20750</t>
  </si>
  <si>
    <t>632E64020</t>
  </si>
  <si>
    <t>632E89600</t>
  </si>
  <si>
    <t>ODOT Item</t>
  </si>
  <si>
    <t>Pedestrian Signal - One Leg</t>
  </si>
  <si>
    <t>2020 Item Data (ODOT)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</si>
</sst>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quot;$&quot;#,##0"/>
    <numFmt numFmtId="166" formatCode="General_)"/>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sz val="11"/>
      <name val="Arial"/>
      <family val="1"/>
    </font>
    <font>
      <b/>
      <sz val="18"/>
      <color theme="1"/>
      <name val="Calibri"/>
      <family val="2"/>
      <scheme val="minor"/>
    </font>
    <font>
      <sz val="10"/>
      <name val="Courier"/>
      <family val="3"/>
    </font>
    <font>
      <sz val="18"/>
      <name val="Calibri"/>
      <family val="2"/>
      <scheme val="minor"/>
    </font>
    <font>
      <i/>
      <sz val="11"/>
      <color rgb="FFFF0000"/>
      <name val="Calibri"/>
      <family val="2"/>
      <scheme val="minor"/>
    </font>
    <font>
      <b/>
      <i/>
      <sz val="11"/>
      <color rgb="FFFF0000"/>
      <name val="Calibri"/>
      <family val="2"/>
      <scheme val="minor"/>
    </font>
    <font>
      <i/>
      <sz val="11"/>
      <color theme="1"/>
      <name val="Calibri"/>
      <family val="2"/>
      <scheme val="minor"/>
    </font>
    <font>
      <b/>
      <sz val="11"/>
      <color theme="0"/>
      <name val="Calibri"/>
      <family val="2"/>
      <scheme val="minor"/>
    </font>
    <font>
      <sz val="8"/>
      <name val="Calibri"/>
      <family val="2"/>
      <scheme val="minor"/>
    </font>
    <font>
      <sz val="10"/>
      <color rgb="FF000000"/>
      <name val="Arial"/>
      <family val="2"/>
    </font>
    <font>
      <sz val="10"/>
      <color theme="1"/>
      <name val="Arial"/>
      <family val="2"/>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1E4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5" fillId="0" borderId="0" applyFont="0" applyFill="0" applyBorder="0" applyAlignment="0" applyProtection="0"/>
    <xf numFmtId="0" fontId="5" fillId="0" borderId="0"/>
    <xf numFmtId="166" fontId="7" fillId="0" borderId="0"/>
  </cellStyleXfs>
  <cellXfs count="99">
    <xf numFmtId="0" fontId="0" fillId="0" borderId="0" xfId="0"/>
    <xf numFmtId="0" fontId="1" fillId="0" borderId="1" xfId="3" applyBorder="1"/>
    <xf numFmtId="0" fontId="4" fillId="0" borderId="1" xfId="3" applyFont="1" applyBorder="1"/>
    <xf numFmtId="0" fontId="4" fillId="0" borderId="2" xfId="3" applyFont="1" applyBorder="1"/>
    <xf numFmtId="0" fontId="1" fillId="0" borderId="0" xfId="3"/>
    <xf numFmtId="0" fontId="0" fillId="0" borderId="1" xfId="0" applyBorder="1"/>
    <xf numFmtId="0" fontId="2" fillId="0" borderId="1" xfId="3" applyFont="1" applyBorder="1"/>
    <xf numFmtId="2" fontId="1" fillId="0" borderId="1" xfId="3" applyNumberFormat="1" applyBorder="1"/>
    <xf numFmtId="164" fontId="1" fillId="0" borderId="1" xfId="3" applyNumberFormat="1" applyBorder="1"/>
    <xf numFmtId="165" fontId="1" fillId="0" borderId="1" xfId="3" applyNumberFormat="1" applyBorder="1"/>
    <xf numFmtId="2" fontId="4" fillId="0" borderId="1" xfId="3" applyNumberFormat="1" applyFont="1" applyBorder="1"/>
    <xf numFmtId="0" fontId="2" fillId="0" borderId="2" xfId="3" applyFont="1" applyBorder="1"/>
    <xf numFmtId="0" fontId="6" fillId="2" borderId="0" xfId="3" applyFont="1" applyFill="1" applyAlignment="1">
      <alignment horizontal="center"/>
    </xf>
    <xf numFmtId="0" fontId="1" fillId="0" borderId="0" xfId="3" applyAlignment="1">
      <alignment horizontal="center"/>
    </xf>
    <xf numFmtId="0" fontId="1" fillId="0" borderId="0" xfId="3" applyAlignment="1">
      <alignment horizontal="left"/>
    </xf>
    <xf numFmtId="44" fontId="1" fillId="0" borderId="1" xfId="5" applyFont="1" applyBorder="1"/>
    <xf numFmtId="0" fontId="5" fillId="0" borderId="0" xfId="6"/>
    <xf numFmtId="0" fontId="6" fillId="2" borderId="0" xfId="3" applyFont="1" applyFill="1" applyAlignment="1">
      <alignment horizontal="center"/>
    </xf>
    <xf numFmtId="44" fontId="0" fillId="0" borderId="1" xfId="1" applyFont="1" applyBorder="1"/>
    <xf numFmtId="44" fontId="1" fillId="0" borderId="1" xfId="1" applyFill="1" applyBorder="1"/>
    <xf numFmtId="0" fontId="4" fillId="2" borderId="0" xfId="4" applyFont="1" applyFill="1" applyAlignment="1">
      <alignment horizontal="left"/>
    </xf>
    <xf numFmtId="44" fontId="1" fillId="0" borderId="1" xfId="1" applyBorder="1"/>
    <xf numFmtId="44" fontId="1" fillId="0" borderId="1" xfId="1" applyFont="1" applyBorder="1"/>
    <xf numFmtId="0" fontId="0" fillId="3" borderId="1" xfId="0" applyFill="1" applyBorder="1"/>
    <xf numFmtId="0" fontId="0" fillId="4" borderId="1" xfId="0" applyFill="1" applyBorder="1"/>
    <xf numFmtId="0" fontId="0" fillId="4" borderId="1" xfId="0" applyFill="1" applyBorder="1" applyAlignment="1">
      <alignment wrapText="1"/>
    </xf>
    <xf numFmtId="0" fontId="1" fillId="0" borderId="0" xfId="3" applyFill="1"/>
    <xf numFmtId="0" fontId="0" fillId="0" borderId="1" xfId="0" applyFill="1" applyBorder="1"/>
    <xf numFmtId="2" fontId="1" fillId="0" borderId="1" xfId="3" applyNumberFormat="1" applyFill="1" applyBorder="1"/>
    <xf numFmtId="44" fontId="1" fillId="0" borderId="1" xfId="5" applyFont="1" applyFill="1" applyBorder="1"/>
    <xf numFmtId="2" fontId="4" fillId="0" borderId="1" xfId="3" applyNumberFormat="1" applyFont="1" applyFill="1" applyBorder="1"/>
    <xf numFmtId="0" fontId="3" fillId="0" borderId="1" xfId="0" applyFont="1" applyBorder="1" applyAlignment="1"/>
    <xf numFmtId="0" fontId="3" fillId="5" borderId="1" xfId="0" applyFont="1" applyFill="1" applyBorder="1" applyAlignment="1">
      <alignment wrapText="1"/>
    </xf>
    <xf numFmtId="44" fontId="1" fillId="0" borderId="1" xfId="1" applyFont="1" applyFill="1" applyBorder="1"/>
    <xf numFmtId="165" fontId="0" fillId="0" borderId="1" xfId="3" applyNumberFormat="1" applyFont="1" applyFill="1" applyBorder="1"/>
    <xf numFmtId="0" fontId="0" fillId="0" borderId="1" xfId="0" applyFill="1" applyBorder="1" applyAlignment="1">
      <alignment wrapText="1"/>
    </xf>
    <xf numFmtId="44" fontId="1" fillId="0" borderId="0" xfId="3" applyNumberFormat="1"/>
    <xf numFmtId="0" fontId="4" fillId="2" borderId="0" xfId="4" applyFont="1" applyFill="1" applyAlignment="1">
      <alignment horizontal="left"/>
    </xf>
    <xf numFmtId="49" fontId="0" fillId="0" borderId="0" xfId="0" applyNumberFormat="1"/>
    <xf numFmtId="3" fontId="0" fillId="0" borderId="0" xfId="0" applyNumberFormat="1"/>
    <xf numFmtId="164" fontId="0" fillId="0" borderId="0" xfId="0" applyNumberFormat="1"/>
    <xf numFmtId="164" fontId="1" fillId="0" borderId="0" xfId="3" applyNumberFormat="1"/>
    <xf numFmtId="0" fontId="9" fillId="0" borderId="0" xfId="3" applyFont="1"/>
    <xf numFmtId="0" fontId="10" fillId="0" borderId="0" xfId="3" applyFont="1"/>
    <xf numFmtId="0" fontId="1" fillId="0" borderId="0" xfId="3" applyAlignment="1">
      <alignment wrapText="1"/>
    </xf>
    <xf numFmtId="3" fontId="0" fillId="0" borderId="1" xfId="0" applyNumberFormat="1" applyBorder="1"/>
    <xf numFmtId="49" fontId="0" fillId="0" borderId="1" xfId="0" applyNumberFormat="1" applyBorder="1"/>
    <xf numFmtId="164" fontId="0" fillId="0" borderId="1" xfId="0" applyNumberFormat="1" applyBorder="1"/>
    <xf numFmtId="164" fontId="2" fillId="6" borderId="1" xfId="3" applyNumberFormat="1" applyFont="1" applyFill="1" applyBorder="1"/>
    <xf numFmtId="0" fontId="0" fillId="3" borderId="1" xfId="0" applyFill="1" applyBorder="1" applyAlignment="1">
      <alignment horizontal="left"/>
    </xf>
    <xf numFmtId="0" fontId="1" fillId="0" borderId="1" xfId="3" applyFill="1" applyBorder="1" applyAlignment="1">
      <alignment horizontal="left" vertical="center" wrapText="1"/>
    </xf>
    <xf numFmtId="0" fontId="2" fillId="0" borderId="0" xfId="0" applyFont="1"/>
    <xf numFmtId="0" fontId="11" fillId="0" borderId="0" xfId="0" applyFont="1"/>
    <xf numFmtId="0" fontId="6" fillId="2" borderId="0" xfId="3" applyFont="1" applyFill="1" applyAlignment="1">
      <alignment horizontal="center"/>
    </xf>
    <xf numFmtId="0" fontId="4" fillId="2" borderId="0" xfId="4" applyFont="1" applyFill="1" applyAlignment="1">
      <alignment horizontal="left"/>
    </xf>
    <xf numFmtId="44" fontId="0" fillId="0" borderId="0" xfId="0" applyNumberFormat="1"/>
    <xf numFmtId="44" fontId="0" fillId="0" borderId="0" xfId="1" applyFont="1"/>
    <xf numFmtId="0" fontId="2" fillId="0" borderId="1" xfId="0" applyFont="1" applyBorder="1" applyAlignment="1">
      <alignment horizontal="center" wrapText="1"/>
    </xf>
    <xf numFmtId="164" fontId="2" fillId="0" borderId="1" xfId="0" applyNumberFormat="1" applyFont="1" applyBorder="1" applyAlignment="1">
      <alignment horizontal="center" wrapText="1"/>
    </xf>
    <xf numFmtId="0" fontId="2" fillId="0" borderId="1" xfId="0" applyFont="1" applyBorder="1" applyAlignment="1">
      <alignment wrapText="1"/>
    </xf>
    <xf numFmtId="2" fontId="0" fillId="0" borderId="1" xfId="0" applyNumberFormat="1" applyBorder="1"/>
    <xf numFmtId="44" fontId="0" fillId="0" borderId="1" xfId="0" applyNumberFormat="1" applyBorder="1"/>
    <xf numFmtId="0" fontId="2" fillId="0" borderId="1" xfId="0" applyFont="1" applyFill="1" applyBorder="1" applyAlignment="1">
      <alignment wrapText="1"/>
    </xf>
    <xf numFmtId="0" fontId="0" fillId="0" borderId="1" xfId="0" applyBorder="1" applyAlignment="1">
      <alignment horizontal="right"/>
    </xf>
    <xf numFmtId="0" fontId="0" fillId="4" borderId="1" xfId="0" applyFill="1" applyBorder="1" applyAlignment="1">
      <alignment horizontal="center" wrapText="1"/>
    </xf>
    <xf numFmtId="0" fontId="3" fillId="0" borderId="1" xfId="0" applyFont="1" applyBorder="1" applyAlignment="1">
      <alignment horizontal="center"/>
    </xf>
    <xf numFmtId="0" fontId="1" fillId="0" borderId="0" xfId="3" applyAlignment="1">
      <alignment horizontal="center" wrapText="1"/>
    </xf>
    <xf numFmtId="0" fontId="6" fillId="2" borderId="0" xfId="3" applyFont="1" applyFill="1" applyAlignment="1">
      <alignment horizontal="center"/>
    </xf>
    <xf numFmtId="0" fontId="4" fillId="2" borderId="0" xfId="4" applyFont="1" applyFill="1" applyAlignment="1">
      <alignment horizontal="left"/>
    </xf>
    <xf numFmtId="0" fontId="1" fillId="2" borderId="0" xfId="4" applyFill="1" applyAlignment="1">
      <alignment horizontal="left"/>
    </xf>
    <xf numFmtId="0" fontId="0" fillId="0" borderId="1" xfId="0" applyFill="1" applyBorder="1" applyAlignment="1">
      <alignment vertical="center" wrapText="1"/>
    </xf>
    <xf numFmtId="0" fontId="11" fillId="0" borderId="0" xfId="0" applyFont="1" applyAlignment="1">
      <alignment horizontal="left" vertical="top" wrapText="1"/>
    </xf>
    <xf numFmtId="11" fontId="1" fillId="0" borderId="0" xfId="3" applyNumberFormat="1"/>
    <xf numFmtId="11" fontId="14" fillId="0" borderId="0" xfId="0" applyNumberFormat="1" applyFont="1"/>
    <xf numFmtId="11" fontId="15" fillId="0" borderId="0" xfId="0" applyNumberFormat="1" applyFont="1" applyAlignment="1">
      <alignment vertical="center"/>
    </xf>
    <xf numFmtId="0" fontId="2" fillId="0" borderId="1" xfId="0" applyFont="1" applyBorder="1" applyAlignment="1">
      <alignment horizontal="left" wrapText="1"/>
    </xf>
    <xf numFmtId="0" fontId="2" fillId="0" borderId="0" xfId="3" applyFont="1"/>
    <xf numFmtId="166" fontId="8" fillId="5" borderId="1" xfId="7" applyFont="1" applyFill="1" applyBorder="1" applyAlignment="1">
      <alignment horizontal="center" vertical="center" wrapText="1"/>
    </xf>
    <xf numFmtId="0" fontId="0" fillId="0" borderId="0" xfId="0" applyAlignment="1">
      <alignment wrapText="1"/>
    </xf>
    <xf numFmtId="0" fontId="4" fillId="0" borderId="1" xfId="3" applyFont="1" applyFill="1" applyBorder="1" applyAlignment="1">
      <alignment horizontal="left" vertical="center" wrapText="1"/>
    </xf>
    <xf numFmtId="0" fontId="4" fillId="0" borderId="1" xfId="3" applyFont="1" applyFill="1" applyBorder="1" applyAlignment="1">
      <alignment wrapText="1"/>
    </xf>
    <xf numFmtId="44" fontId="0" fillId="0" borderId="1" xfId="1" applyFont="1" applyFill="1" applyBorder="1" applyAlignment="1">
      <alignment wrapText="1"/>
    </xf>
    <xf numFmtId="167" fontId="0" fillId="0" borderId="1" xfId="0" applyNumberFormat="1" applyFill="1" applyBorder="1" applyAlignment="1">
      <alignment wrapText="1"/>
    </xf>
    <xf numFmtId="0" fontId="1" fillId="0" borderId="1" xfId="3" applyFill="1" applyBorder="1" applyAlignment="1">
      <alignment wrapText="1"/>
    </xf>
    <xf numFmtId="0" fontId="0" fillId="0" borderId="1" xfId="0" applyBorder="1" applyAlignment="1">
      <alignment wrapText="1"/>
    </xf>
    <xf numFmtId="9" fontId="0" fillId="0" borderId="1" xfId="2" applyFont="1" applyBorder="1" applyAlignment="1">
      <alignment wrapText="1"/>
    </xf>
    <xf numFmtId="44" fontId="0" fillId="0" borderId="1" xfId="0" applyNumberFormat="1" applyBorder="1" applyAlignment="1">
      <alignment wrapText="1"/>
    </xf>
    <xf numFmtId="0" fontId="12" fillId="7" borderId="2" xfId="3" applyFont="1" applyFill="1" applyBorder="1" applyAlignment="1">
      <alignment horizontal="left" wrapText="1"/>
    </xf>
    <xf numFmtId="0" fontId="12" fillId="7" borderId="3" xfId="3" applyFont="1" applyFill="1" applyBorder="1" applyAlignment="1">
      <alignment horizontal="left" wrapText="1"/>
    </xf>
    <xf numFmtId="0" fontId="12" fillId="7" borderId="4" xfId="3" applyFont="1" applyFill="1" applyBorder="1" applyAlignment="1">
      <alignment horizontal="left" wrapText="1"/>
    </xf>
    <xf numFmtId="44" fontId="12" fillId="7" borderId="1" xfId="1" applyFont="1" applyFill="1" applyBorder="1" applyAlignment="1">
      <alignment wrapText="1"/>
    </xf>
    <xf numFmtId="0" fontId="12" fillId="7" borderId="1" xfId="0" applyFont="1" applyFill="1" applyBorder="1" applyAlignment="1">
      <alignment wrapText="1"/>
    </xf>
    <xf numFmtId="44" fontId="12" fillId="7" borderId="2" xfId="3" applyNumberFormat="1" applyFont="1" applyFill="1" applyBorder="1" applyAlignment="1">
      <alignment horizontal="left" wrapText="1"/>
    </xf>
    <xf numFmtId="0" fontId="1" fillId="0" borderId="1" xfId="3" applyBorder="1" applyAlignment="1">
      <alignment wrapText="1"/>
    </xf>
    <xf numFmtId="9" fontId="0" fillId="0" borderId="1" xfId="2" applyFont="1" applyBorder="1" applyAlignment="1">
      <alignment horizontal="right" wrapText="1"/>
    </xf>
    <xf numFmtId="44" fontId="0" fillId="0" borderId="1" xfId="1" applyFont="1" applyBorder="1" applyAlignment="1">
      <alignment wrapText="1"/>
    </xf>
    <xf numFmtId="44" fontId="1" fillId="0" borderId="1" xfId="1" applyFill="1" applyBorder="1" applyAlignment="1">
      <alignment wrapText="1"/>
    </xf>
    <xf numFmtId="0" fontId="12" fillId="7" borderId="1" xfId="3" applyFont="1" applyFill="1" applyBorder="1" applyAlignment="1">
      <alignment horizontal="left" wrapText="1"/>
    </xf>
    <xf numFmtId="44" fontId="12" fillId="7" borderId="1" xfId="0" applyNumberFormat="1" applyFont="1" applyFill="1" applyBorder="1" applyAlignment="1">
      <alignment wrapText="1"/>
    </xf>
  </cellXfs>
  <cellStyles count="8">
    <cellStyle name="Currency" xfId="1" builtinId="4"/>
    <cellStyle name="Currency 2" xfId="5" xr:uid="{00000000-0005-0000-0000-000001000000}"/>
    <cellStyle name="Normal" xfId="0" builtinId="0"/>
    <cellStyle name="Normal 2" xfId="3" xr:uid="{00000000-0005-0000-0000-000003000000}"/>
    <cellStyle name="Normal 3" xfId="4" xr:uid="{00000000-0005-0000-0000-000004000000}"/>
    <cellStyle name="Normal 4" xfId="6" xr:uid="{00000000-0005-0000-0000-000005000000}"/>
    <cellStyle name="Normal_Sheet1" xfId="7" xr:uid="{00000000-0005-0000-0000-000006000000}"/>
    <cellStyle name="Percent" xfId="2" builtinId="5"/>
  </cellStyles>
  <dxfs count="0"/>
  <tableStyles count="0" defaultTableStyle="TableStyleMedium2" defaultPivotStyle="PivotStyleLight16"/>
  <colors>
    <mruColors>
      <color rgb="FF001E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ariel Colman" id="{9F15A1C3-DB5B-4CAE-8A7F-B0058F5D6A9B}" userId="S::mcolman@tooledesign.com::7bb2b33d-f8ae-4906-b6da-54f1c61af5b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2" dT="2021-03-11T18:03:34.53" personId="{9F15A1C3-DB5B-4CAE-8A7F-B0058F5D6A9B}" id="{5ACC8924-5782-4A80-8595-A89D9F727870}" done="1">
    <text>The way ODOT pays for ramps is by including the landing area + the ramp. I would assumpt a 7-8' ramp + 5' landing area = 13' total length</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B1:H36"/>
  <sheetViews>
    <sheetView tabSelected="1" workbookViewId="0"/>
  </sheetViews>
  <sheetFormatPr defaultRowHeight="15" x14ac:dyDescent="0.25"/>
  <cols>
    <col min="2" max="2" width="29.5703125" customWidth="1"/>
    <col min="3" max="3" width="14.5703125" customWidth="1"/>
    <col min="4" max="4" width="14.28515625" customWidth="1"/>
    <col min="5" max="5" width="9.5703125" customWidth="1"/>
    <col min="6" max="6" width="13.28515625" customWidth="1"/>
    <col min="7" max="7" width="21.140625" customWidth="1"/>
    <col min="8" max="8" width="23.5703125" customWidth="1"/>
  </cols>
  <sheetData>
    <row r="1" spans="2:8" ht="23.25" x14ac:dyDescent="0.25">
      <c r="B1" s="77" t="s">
        <v>16</v>
      </c>
      <c r="C1" s="77"/>
      <c r="D1" s="77"/>
      <c r="E1" s="77"/>
      <c r="F1" s="77"/>
      <c r="G1" s="77"/>
      <c r="H1" s="77"/>
    </row>
    <row r="2" spans="2:8" x14ac:dyDescent="0.25">
      <c r="B2" s="78"/>
      <c r="C2" s="78"/>
      <c r="D2" s="78"/>
      <c r="E2" s="78"/>
      <c r="F2" s="78"/>
      <c r="G2" s="78"/>
      <c r="H2" s="78"/>
    </row>
    <row r="3" spans="2:8" ht="15.75" x14ac:dyDescent="0.25">
      <c r="B3" s="32" t="s">
        <v>1</v>
      </c>
      <c r="C3" s="32" t="s">
        <v>3</v>
      </c>
      <c r="D3" s="32" t="s">
        <v>15</v>
      </c>
      <c r="E3" s="32" t="s">
        <v>8</v>
      </c>
      <c r="F3" s="32" t="s">
        <v>9</v>
      </c>
      <c r="G3" s="32" t="s">
        <v>14</v>
      </c>
      <c r="H3" s="32" t="s">
        <v>0</v>
      </c>
    </row>
    <row r="4" spans="2:8" ht="16.5" customHeight="1" x14ac:dyDescent="0.25">
      <c r="B4" s="79" t="s">
        <v>112</v>
      </c>
      <c r="C4" s="80" t="s">
        <v>108</v>
      </c>
      <c r="D4" s="81">
        <f>'Trail Quantities'!I11</f>
        <v>226707.95782774655</v>
      </c>
      <c r="E4" s="82">
        <f>Calcs!D10/5280</f>
        <v>9.3744318181818187</v>
      </c>
      <c r="F4" s="81">
        <f>D4*E4</f>
        <v>2125258.2932954491</v>
      </c>
      <c r="G4" s="35" t="s">
        <v>132</v>
      </c>
      <c r="H4" s="35" t="s">
        <v>109</v>
      </c>
    </row>
    <row r="5" spans="2:8" ht="45" x14ac:dyDescent="0.25">
      <c r="B5" s="50" t="s">
        <v>46</v>
      </c>
      <c r="C5" s="83" t="s">
        <v>6</v>
      </c>
      <c r="D5" s="81">
        <f>'Intersection - One Leg'!F11</f>
        <v>7860</v>
      </c>
      <c r="E5" s="35">
        <v>13</v>
      </c>
      <c r="F5" s="81">
        <f>D5*E5</f>
        <v>102180</v>
      </c>
      <c r="G5" s="35" t="s">
        <v>48</v>
      </c>
      <c r="H5" s="35" t="s">
        <v>110</v>
      </c>
    </row>
    <row r="6" spans="2:8" ht="43.5" customHeight="1" x14ac:dyDescent="0.25">
      <c r="B6" s="50" t="s">
        <v>47</v>
      </c>
      <c r="C6" s="83" t="s">
        <v>6</v>
      </c>
      <c r="D6" s="81">
        <f>'Intersection - Two Legs'!F13</f>
        <v>15720</v>
      </c>
      <c r="E6" s="35">
        <f>Calcs!E10</f>
        <v>21</v>
      </c>
      <c r="F6" s="81">
        <f>D6*E6</f>
        <v>330120</v>
      </c>
      <c r="G6" s="35" t="s">
        <v>49</v>
      </c>
      <c r="H6" s="35" t="s">
        <v>110</v>
      </c>
    </row>
    <row r="7" spans="2:8" ht="75" x14ac:dyDescent="0.25">
      <c r="B7" s="50" t="s">
        <v>131</v>
      </c>
      <c r="C7" s="83" t="s">
        <v>6</v>
      </c>
      <c r="D7" s="81">
        <f>'Pedestrian -Signal 1 Leg'!F15</f>
        <v>5878</v>
      </c>
      <c r="E7" s="35">
        <f>Calcs!G10</f>
        <v>5</v>
      </c>
      <c r="F7" s="81">
        <f>D7*E7</f>
        <v>29390</v>
      </c>
      <c r="G7" s="70" t="s">
        <v>122</v>
      </c>
      <c r="H7" s="35" t="s">
        <v>116</v>
      </c>
    </row>
    <row r="8" spans="2:8" x14ac:dyDescent="0.25">
      <c r="B8" s="84" t="s">
        <v>88</v>
      </c>
      <c r="C8" s="84" t="s">
        <v>113</v>
      </c>
      <c r="D8" s="85">
        <v>0.05</v>
      </c>
      <c r="E8" s="84"/>
      <c r="F8" s="86">
        <f>D8*SUM($F$4:$F$7)</f>
        <v>129347.41466477246</v>
      </c>
      <c r="G8" s="35"/>
      <c r="H8" s="35"/>
    </row>
    <row r="9" spans="2:8" x14ac:dyDescent="0.25">
      <c r="B9" s="84" t="s">
        <v>114</v>
      </c>
      <c r="C9" s="84" t="s">
        <v>113</v>
      </c>
      <c r="D9" s="85">
        <v>0.05</v>
      </c>
      <c r="E9" s="84"/>
      <c r="F9" s="86">
        <f>D9*SUM($F$4:$F$7)</f>
        <v>129347.41466477246</v>
      </c>
      <c r="G9" s="35"/>
      <c r="H9" s="35"/>
    </row>
    <row r="10" spans="2:8" x14ac:dyDescent="0.25">
      <c r="B10" s="84" t="s">
        <v>87</v>
      </c>
      <c r="C10" s="84" t="s">
        <v>113</v>
      </c>
      <c r="D10" s="85">
        <v>0.05</v>
      </c>
      <c r="E10" s="84"/>
      <c r="F10" s="86">
        <f>D10*SUM($F$4:$F$7)</f>
        <v>129347.41466477246</v>
      </c>
      <c r="G10" s="35"/>
      <c r="H10" s="35"/>
    </row>
    <row r="11" spans="2:8" x14ac:dyDescent="0.25">
      <c r="B11" s="84" t="s">
        <v>107</v>
      </c>
      <c r="C11" s="84" t="s">
        <v>113</v>
      </c>
      <c r="D11" s="85">
        <v>0.05</v>
      </c>
      <c r="E11" s="84"/>
      <c r="F11" s="86">
        <f>D11*SUM($F$4:$F$7)</f>
        <v>129347.41466477246</v>
      </c>
      <c r="G11" s="35"/>
      <c r="H11" s="35"/>
    </row>
    <row r="12" spans="2:8" x14ac:dyDescent="0.25">
      <c r="B12" s="84" t="s">
        <v>89</v>
      </c>
      <c r="C12" s="84" t="s">
        <v>113</v>
      </c>
      <c r="D12" s="85">
        <v>0.1</v>
      </c>
      <c r="E12" s="84"/>
      <c r="F12" s="86">
        <f>D12*SUM($F$4:$F$7)</f>
        <v>258694.82932954491</v>
      </c>
      <c r="G12" s="35"/>
      <c r="H12" s="35"/>
    </row>
    <row r="13" spans="2:8" x14ac:dyDescent="0.25">
      <c r="B13" s="84" t="s">
        <v>90</v>
      </c>
      <c r="C13" s="84" t="s">
        <v>113</v>
      </c>
      <c r="D13" s="85">
        <v>0.1</v>
      </c>
      <c r="E13" s="84"/>
      <c r="F13" s="86">
        <f>D13*SUM($F$4:$F$7)</f>
        <v>258694.82932954491</v>
      </c>
      <c r="G13" s="35"/>
      <c r="H13" s="35"/>
    </row>
    <row r="14" spans="2:8" x14ac:dyDescent="0.25">
      <c r="B14" s="84" t="s">
        <v>106</v>
      </c>
      <c r="C14" s="84" t="s">
        <v>113</v>
      </c>
      <c r="D14" s="85">
        <v>0.05</v>
      </c>
      <c r="E14" s="84"/>
      <c r="F14" s="86">
        <f>D14*SUM($F$4:$F$7)</f>
        <v>129347.41466477246</v>
      </c>
      <c r="G14" s="35"/>
      <c r="H14" s="35"/>
    </row>
    <row r="15" spans="2:8" x14ac:dyDescent="0.25">
      <c r="B15" s="87" t="s">
        <v>41</v>
      </c>
      <c r="C15" s="88"/>
      <c r="D15" s="88"/>
      <c r="E15" s="89"/>
      <c r="F15" s="90">
        <f>SUM(F4:F14)</f>
        <v>3751075.0252784006</v>
      </c>
      <c r="G15" s="91"/>
      <c r="H15" s="91"/>
    </row>
    <row r="16" spans="2:8" x14ac:dyDescent="0.25">
      <c r="B16" s="78"/>
      <c r="C16" s="78"/>
      <c r="D16" s="78"/>
      <c r="E16" s="78"/>
      <c r="F16" s="78"/>
      <c r="G16" s="78"/>
      <c r="H16" s="78"/>
    </row>
    <row r="17" spans="2:8" ht="15" customHeight="1" x14ac:dyDescent="0.25">
      <c r="B17" s="84" t="s">
        <v>86</v>
      </c>
      <c r="C17" s="84" t="s">
        <v>10</v>
      </c>
      <c r="D17" s="85">
        <v>0.05</v>
      </c>
      <c r="E17" s="84"/>
      <c r="F17" s="86">
        <f>D17*$F$15</f>
        <v>187553.75126392004</v>
      </c>
      <c r="G17" s="78"/>
      <c r="H17" s="78"/>
    </row>
    <row r="18" spans="2:8" ht="15" customHeight="1" x14ac:dyDescent="0.25">
      <c r="B18" s="84" t="s">
        <v>111</v>
      </c>
      <c r="C18" s="84" t="s">
        <v>10</v>
      </c>
      <c r="D18" s="85">
        <v>0.05</v>
      </c>
      <c r="E18" s="84"/>
      <c r="F18" s="86">
        <f>D18*$F$15</f>
        <v>187553.75126392004</v>
      </c>
      <c r="G18" s="78"/>
      <c r="H18" s="78"/>
    </row>
    <row r="19" spans="2:8" x14ac:dyDescent="0.25">
      <c r="B19" s="87" t="s">
        <v>91</v>
      </c>
      <c r="C19" s="88"/>
      <c r="D19" s="88"/>
      <c r="E19" s="89"/>
      <c r="F19" s="92">
        <f>SUM(F17:F18)</f>
        <v>375107.50252784009</v>
      </c>
      <c r="G19" s="78"/>
      <c r="H19" s="78"/>
    </row>
    <row r="20" spans="2:8" x14ac:dyDescent="0.25">
      <c r="B20" s="78"/>
      <c r="C20" s="78"/>
      <c r="D20" s="78"/>
      <c r="E20" s="78"/>
      <c r="F20" s="78"/>
      <c r="G20" s="78"/>
      <c r="H20" s="78"/>
    </row>
    <row r="21" spans="2:8" ht="17.25" customHeight="1" x14ac:dyDescent="0.25">
      <c r="B21" s="93" t="s">
        <v>7</v>
      </c>
      <c r="C21" s="84" t="s">
        <v>10</v>
      </c>
      <c r="D21" s="94">
        <v>0.3</v>
      </c>
      <c r="E21" s="94"/>
      <c r="F21" s="95">
        <f>D21*($F$15+F19)</f>
        <v>1237854.7583418721</v>
      </c>
      <c r="G21" s="78"/>
      <c r="H21" s="78"/>
    </row>
    <row r="22" spans="2:8" ht="30" customHeight="1" x14ac:dyDescent="0.25">
      <c r="B22" s="84" t="s">
        <v>40</v>
      </c>
      <c r="C22" s="84" t="s">
        <v>10</v>
      </c>
      <c r="D22" s="94">
        <v>0.25</v>
      </c>
      <c r="E22" s="94"/>
      <c r="F22" s="96">
        <f>D22*F15</f>
        <v>937768.75631960016</v>
      </c>
      <c r="G22" s="78"/>
      <c r="H22" s="78"/>
    </row>
    <row r="23" spans="2:8" x14ac:dyDescent="0.25">
      <c r="B23" s="78"/>
      <c r="C23" s="78"/>
      <c r="D23" s="78"/>
      <c r="E23" s="78"/>
      <c r="F23" s="78"/>
      <c r="G23" s="78"/>
      <c r="H23" s="78"/>
    </row>
    <row r="24" spans="2:8" x14ac:dyDescent="0.25">
      <c r="B24" s="97" t="s">
        <v>42</v>
      </c>
      <c r="C24" s="97"/>
      <c r="D24" s="97"/>
      <c r="E24" s="97"/>
      <c r="F24" s="98">
        <f>(F15+F19+F21+F22)</f>
        <v>6301806.0424677124</v>
      </c>
      <c r="G24" s="78"/>
      <c r="H24" s="78"/>
    </row>
    <row r="26" spans="2:8" x14ac:dyDescent="0.25">
      <c r="B26" s="52" t="s">
        <v>124</v>
      </c>
    </row>
    <row r="27" spans="2:8" x14ac:dyDescent="0.25">
      <c r="B27" s="51"/>
    </row>
    <row r="28" spans="2:8" x14ac:dyDescent="0.25">
      <c r="B28" s="71" t="s">
        <v>115</v>
      </c>
      <c r="C28" s="71"/>
      <c r="D28" s="71"/>
      <c r="E28" s="71"/>
      <c r="F28" s="71"/>
      <c r="G28" s="71"/>
      <c r="H28" s="71"/>
    </row>
    <row r="29" spans="2:8" x14ac:dyDescent="0.25">
      <c r="B29" s="71"/>
      <c r="C29" s="71"/>
      <c r="D29" s="71"/>
      <c r="E29" s="71"/>
      <c r="F29" s="71"/>
      <c r="G29" s="71"/>
      <c r="H29" s="71"/>
    </row>
    <row r="30" spans="2:8" x14ac:dyDescent="0.25">
      <c r="B30" s="71"/>
      <c r="C30" s="71"/>
      <c r="D30" s="71"/>
      <c r="E30" s="71"/>
      <c r="F30" s="71"/>
      <c r="G30" s="71"/>
      <c r="H30" s="71"/>
    </row>
    <row r="31" spans="2:8" x14ac:dyDescent="0.25">
      <c r="B31" s="71"/>
      <c r="C31" s="71"/>
      <c r="D31" s="71"/>
      <c r="E31" s="71"/>
      <c r="F31" s="71"/>
      <c r="G31" s="71"/>
      <c r="H31" s="71"/>
    </row>
    <row r="32" spans="2:8" x14ac:dyDescent="0.25">
      <c r="B32" s="71"/>
      <c r="C32" s="71"/>
      <c r="D32" s="71"/>
      <c r="E32" s="71"/>
      <c r="F32" s="71"/>
      <c r="G32" s="71"/>
      <c r="H32" s="71"/>
    </row>
    <row r="33" spans="2:8" x14ac:dyDescent="0.25">
      <c r="B33" s="71"/>
      <c r="C33" s="71"/>
      <c r="D33" s="71"/>
      <c r="E33" s="71"/>
      <c r="F33" s="71"/>
      <c r="G33" s="71"/>
      <c r="H33" s="71"/>
    </row>
    <row r="34" spans="2:8" x14ac:dyDescent="0.25">
      <c r="B34" s="71"/>
      <c r="C34" s="71"/>
      <c r="D34" s="71"/>
      <c r="E34" s="71"/>
      <c r="F34" s="71"/>
      <c r="G34" s="71"/>
      <c r="H34" s="71"/>
    </row>
    <row r="35" spans="2:8" x14ac:dyDescent="0.25">
      <c r="B35" s="71"/>
      <c r="C35" s="71"/>
      <c r="D35" s="71"/>
      <c r="E35" s="71"/>
      <c r="F35" s="71"/>
      <c r="G35" s="71"/>
      <c r="H35" s="71"/>
    </row>
    <row r="36" spans="2:8" x14ac:dyDescent="0.25">
      <c r="B36" s="71"/>
      <c r="C36" s="71"/>
      <c r="D36" s="71"/>
      <c r="E36" s="71"/>
      <c r="F36" s="71"/>
      <c r="G36" s="71"/>
      <c r="H36" s="71"/>
    </row>
  </sheetData>
  <mergeCells count="7">
    <mergeCell ref="B28:H36"/>
    <mergeCell ref="B24:E24"/>
    <mergeCell ref="B1:H1"/>
    <mergeCell ref="D21:E21"/>
    <mergeCell ref="D22:E22"/>
    <mergeCell ref="B15:E15"/>
    <mergeCell ref="B19:E19"/>
  </mergeCells>
  <pageMargins left="0.25" right="0.25"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4135-8172-48B3-BE4D-FFEE18596EA4}">
  <dimension ref="A1:J11"/>
  <sheetViews>
    <sheetView workbookViewId="0"/>
  </sheetViews>
  <sheetFormatPr defaultRowHeight="15" x14ac:dyDescent="0.25"/>
  <cols>
    <col min="1" max="1" width="16.5703125" customWidth="1"/>
    <col min="3" max="3" width="56.5703125" customWidth="1"/>
    <col min="4" max="4" width="13.85546875" customWidth="1"/>
    <col min="8" max="8" width="10.7109375" customWidth="1"/>
    <col min="9" max="9" width="11.140625" bestFit="1" customWidth="1"/>
    <col min="10" max="10" width="37.85546875" customWidth="1"/>
  </cols>
  <sheetData>
    <row r="1" spans="1:10" ht="30" x14ac:dyDescent="0.25">
      <c r="A1" s="57" t="s">
        <v>101</v>
      </c>
      <c r="B1" s="57" t="s">
        <v>70</v>
      </c>
      <c r="C1" s="57" t="s">
        <v>71</v>
      </c>
      <c r="D1" s="58" t="s">
        <v>100</v>
      </c>
      <c r="E1" s="59" t="s">
        <v>98</v>
      </c>
      <c r="F1" s="59" t="s">
        <v>76</v>
      </c>
      <c r="G1" s="59" t="s">
        <v>83</v>
      </c>
      <c r="H1" s="59" t="s">
        <v>84</v>
      </c>
      <c r="I1" s="59" t="s">
        <v>102</v>
      </c>
      <c r="J1" s="62" t="s">
        <v>99</v>
      </c>
    </row>
    <row r="2" spans="1:10" x14ac:dyDescent="0.25">
      <c r="A2" s="46" t="s">
        <v>67</v>
      </c>
      <c r="B2" s="46" t="s">
        <v>68</v>
      </c>
      <c r="C2" s="46" t="s">
        <v>69</v>
      </c>
      <c r="D2" s="18">
        <v>145.62914764999999</v>
      </c>
      <c r="E2" s="5">
        <v>12</v>
      </c>
      <c r="F2" s="60">
        <v>1.25</v>
      </c>
      <c r="G2" s="60"/>
      <c r="H2" s="60">
        <f>E2*F2/12/27</f>
        <v>4.6296296296296294E-2</v>
      </c>
      <c r="I2" s="47">
        <f>D2*H2</f>
        <v>6.7420901689814805</v>
      </c>
      <c r="J2" s="5" t="s">
        <v>105</v>
      </c>
    </row>
    <row r="3" spans="1:10" x14ac:dyDescent="0.25">
      <c r="A3" s="46" t="s">
        <v>77</v>
      </c>
      <c r="B3" s="46" t="s">
        <v>78</v>
      </c>
      <c r="C3" s="46" t="s">
        <v>79</v>
      </c>
      <c r="D3" s="18">
        <v>2.7692967143999998</v>
      </c>
      <c r="E3" s="5">
        <v>12</v>
      </c>
      <c r="F3" s="60"/>
      <c r="G3" s="60">
        <f>12*1/9</f>
        <v>1.3333333333333333</v>
      </c>
      <c r="H3" s="60"/>
      <c r="I3" s="47">
        <f>0.06*G3*D3</f>
        <v>0.22154373715199996</v>
      </c>
      <c r="J3" s="5" t="s">
        <v>105</v>
      </c>
    </row>
    <row r="4" spans="1:10" x14ac:dyDescent="0.25">
      <c r="A4" s="46" t="s">
        <v>72</v>
      </c>
      <c r="B4" s="46" t="s">
        <v>68</v>
      </c>
      <c r="C4" s="46" t="s">
        <v>73</v>
      </c>
      <c r="D4" s="18">
        <v>133.37937671</v>
      </c>
      <c r="E4" s="5">
        <v>12</v>
      </c>
      <c r="F4" s="60">
        <v>1.75</v>
      </c>
      <c r="G4" s="60"/>
      <c r="H4" s="60">
        <f>E4*F4/12/27</f>
        <v>6.4814814814814811E-2</v>
      </c>
      <c r="I4" s="47">
        <f>D4*H4</f>
        <v>8.6449596015740742</v>
      </c>
      <c r="J4" s="5" t="s">
        <v>105</v>
      </c>
    </row>
    <row r="5" spans="1:10" x14ac:dyDescent="0.25">
      <c r="A5" s="46" t="s">
        <v>74</v>
      </c>
      <c r="B5" s="46" t="s">
        <v>68</v>
      </c>
      <c r="C5" s="46" t="s">
        <v>75</v>
      </c>
      <c r="D5" s="18">
        <v>48.398746258999999</v>
      </c>
      <c r="E5" s="5">
        <v>12</v>
      </c>
      <c r="F5" s="60">
        <v>6</v>
      </c>
      <c r="G5" s="60"/>
      <c r="H5" s="60">
        <f>E5*F5/12/27</f>
        <v>0.22222222222222221</v>
      </c>
      <c r="I5" s="47">
        <f>D5*H5</f>
        <v>10.755276946444443</v>
      </c>
      <c r="J5" s="5" t="s">
        <v>105</v>
      </c>
    </row>
    <row r="6" spans="1:10" x14ac:dyDescent="0.25">
      <c r="A6" s="46" t="s">
        <v>80</v>
      </c>
      <c r="B6" s="46" t="s">
        <v>81</v>
      </c>
      <c r="C6" s="46" t="s">
        <v>82</v>
      </c>
      <c r="D6" s="18">
        <v>1.7180570781</v>
      </c>
      <c r="E6" s="5">
        <v>12</v>
      </c>
      <c r="F6" s="60"/>
      <c r="G6" s="60">
        <f>12*1/9</f>
        <v>1.3333333333333333</v>
      </c>
      <c r="H6" s="60"/>
      <c r="I6" s="47">
        <f>D6*G6</f>
        <v>2.2907427707999997</v>
      </c>
      <c r="J6" s="5" t="s">
        <v>105</v>
      </c>
    </row>
    <row r="7" spans="1:10" x14ac:dyDescent="0.25">
      <c r="A7" s="5" t="s">
        <v>92</v>
      </c>
      <c r="B7" s="46" t="s">
        <v>68</v>
      </c>
      <c r="C7" s="5" t="s">
        <v>93</v>
      </c>
      <c r="D7" s="18">
        <v>11.21</v>
      </c>
      <c r="E7" s="5" t="s">
        <v>97</v>
      </c>
      <c r="F7" s="5" t="s">
        <v>97</v>
      </c>
      <c r="G7" s="5" t="s">
        <v>97</v>
      </c>
      <c r="H7" s="5">
        <v>0.25</v>
      </c>
      <c r="I7" s="61">
        <f>D7*H7</f>
        <v>2.8025000000000002</v>
      </c>
      <c r="J7" s="5" t="s">
        <v>96</v>
      </c>
    </row>
    <row r="8" spans="1:10" x14ac:dyDescent="0.25">
      <c r="A8" s="5" t="s">
        <v>94</v>
      </c>
      <c r="B8" s="46" t="s">
        <v>68</v>
      </c>
      <c r="C8" s="5" t="s">
        <v>95</v>
      </c>
      <c r="D8" s="18">
        <v>11.48</v>
      </c>
      <c r="E8" s="5" t="s">
        <v>97</v>
      </c>
      <c r="F8" s="5" t="s">
        <v>97</v>
      </c>
      <c r="G8" s="5" t="s">
        <v>97</v>
      </c>
      <c r="H8" s="5">
        <v>1</v>
      </c>
      <c r="I8" s="61">
        <f>D8*H8</f>
        <v>11.48</v>
      </c>
      <c r="J8" s="5" t="s">
        <v>96</v>
      </c>
    </row>
    <row r="9" spans="1:10" x14ac:dyDescent="0.25">
      <c r="B9" s="38"/>
      <c r="D9" s="56"/>
      <c r="I9" s="55"/>
    </row>
    <row r="10" spans="1:10" x14ac:dyDescent="0.25">
      <c r="A10" s="63" t="s">
        <v>103</v>
      </c>
      <c r="B10" s="63"/>
      <c r="C10" s="63"/>
      <c r="D10" s="63"/>
      <c r="E10" s="63"/>
      <c r="F10" s="63"/>
      <c r="G10" s="63"/>
      <c r="H10" s="63"/>
      <c r="I10" s="47">
        <f>SUM(I2:I8)</f>
        <v>42.937113224952</v>
      </c>
    </row>
    <row r="11" spans="1:10" x14ac:dyDescent="0.25">
      <c r="A11" s="63" t="s">
        <v>104</v>
      </c>
      <c r="B11" s="63"/>
      <c r="C11" s="63"/>
      <c r="D11" s="63"/>
      <c r="E11" s="63"/>
      <c r="F11" s="63"/>
      <c r="G11" s="63"/>
      <c r="H11" s="63"/>
      <c r="I11" s="47">
        <f>I10*5280</f>
        <v>226707.95782774655</v>
      </c>
    </row>
  </sheetData>
  <mergeCells count="2">
    <mergeCell ref="A10:H10"/>
    <mergeCell ref="A11:H11"/>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
  <sheetViews>
    <sheetView workbookViewId="0"/>
  </sheetViews>
  <sheetFormatPr defaultRowHeight="15" x14ac:dyDescent="0.25"/>
  <cols>
    <col min="1" max="1" width="4.85546875" customWidth="1"/>
    <col min="2" max="2" width="24" customWidth="1"/>
    <col min="3" max="3" width="24.42578125" customWidth="1"/>
    <col min="4" max="4" width="10.85546875" customWidth="1"/>
    <col min="5" max="7" width="16.42578125" customWidth="1"/>
    <col min="8" max="10" width="14.140625" customWidth="1"/>
  </cols>
  <sheetData>
    <row r="1" spans="1:7" ht="52.5" customHeight="1" x14ac:dyDescent="0.25">
      <c r="A1" s="24"/>
      <c r="B1" s="64" t="s">
        <v>56</v>
      </c>
      <c r="C1" s="64"/>
      <c r="D1" s="25" t="s">
        <v>58</v>
      </c>
      <c r="E1" s="25" t="s">
        <v>59</v>
      </c>
      <c r="F1" s="25" t="s">
        <v>60</v>
      </c>
      <c r="G1" s="25" t="s">
        <v>123</v>
      </c>
    </row>
    <row r="2" spans="1:7" x14ac:dyDescent="0.25">
      <c r="A2" s="23">
        <v>1</v>
      </c>
      <c r="B2" s="49" t="s">
        <v>44</v>
      </c>
      <c r="C2" s="49">
        <v>35</v>
      </c>
      <c r="D2" s="27">
        <v>9942</v>
      </c>
      <c r="E2" s="27">
        <v>1</v>
      </c>
      <c r="F2" s="27"/>
      <c r="G2" s="27">
        <v>1</v>
      </c>
    </row>
    <row r="3" spans="1:7" x14ac:dyDescent="0.25">
      <c r="A3" s="23">
        <v>2</v>
      </c>
      <c r="B3" s="49">
        <v>35</v>
      </c>
      <c r="C3" s="49" t="s">
        <v>45</v>
      </c>
      <c r="D3" s="27">
        <v>3713</v>
      </c>
      <c r="E3" s="27">
        <v>1</v>
      </c>
      <c r="F3" s="27"/>
      <c r="G3" s="27">
        <v>1</v>
      </c>
    </row>
    <row r="4" spans="1:7" x14ac:dyDescent="0.25">
      <c r="A4" s="23">
        <v>3</v>
      </c>
      <c r="B4" s="23" t="s">
        <v>45</v>
      </c>
      <c r="C4" s="23" t="s">
        <v>50</v>
      </c>
      <c r="D4" s="27">
        <v>4761</v>
      </c>
      <c r="E4" s="27">
        <v>1</v>
      </c>
      <c r="F4" s="27">
        <v>1</v>
      </c>
      <c r="G4" s="27"/>
    </row>
    <row r="5" spans="1:7" x14ac:dyDescent="0.25">
      <c r="A5" s="23">
        <v>4</v>
      </c>
      <c r="B5" s="23" t="s">
        <v>51</v>
      </c>
      <c r="C5" s="23" t="s">
        <v>52</v>
      </c>
      <c r="D5" s="27">
        <v>11360</v>
      </c>
      <c r="E5" s="27">
        <v>6</v>
      </c>
      <c r="F5" s="27">
        <v>1</v>
      </c>
      <c r="G5" s="27">
        <v>1</v>
      </c>
    </row>
    <row r="6" spans="1:7" x14ac:dyDescent="0.25">
      <c r="A6" s="23">
        <v>5</v>
      </c>
      <c r="B6" s="23" t="s">
        <v>52</v>
      </c>
      <c r="C6" s="23" t="s">
        <v>53</v>
      </c>
      <c r="D6" s="27">
        <v>2742</v>
      </c>
      <c r="E6" s="27">
        <v>2</v>
      </c>
      <c r="F6" s="27"/>
      <c r="G6" s="27">
        <v>1</v>
      </c>
    </row>
    <row r="7" spans="1:7" x14ac:dyDescent="0.25">
      <c r="A7" s="23">
        <v>6</v>
      </c>
      <c r="B7" s="23" t="s">
        <v>53</v>
      </c>
      <c r="C7" s="23" t="s">
        <v>54</v>
      </c>
      <c r="D7" s="27">
        <v>4671</v>
      </c>
      <c r="E7" s="27">
        <v>4</v>
      </c>
      <c r="F7" s="27">
        <v>1</v>
      </c>
      <c r="G7" s="27"/>
    </row>
    <row r="8" spans="1:7" x14ac:dyDescent="0.25">
      <c r="A8" s="23">
        <v>7</v>
      </c>
      <c r="B8" s="23" t="s">
        <v>54</v>
      </c>
      <c r="C8" s="23" t="s">
        <v>55</v>
      </c>
      <c r="D8" s="27">
        <v>12308</v>
      </c>
      <c r="E8" s="27">
        <v>6</v>
      </c>
      <c r="F8" s="27"/>
      <c r="G8" s="27">
        <v>1</v>
      </c>
    </row>
    <row r="10" spans="1:7" ht="15.75" x14ac:dyDescent="0.25">
      <c r="A10" s="65" t="s">
        <v>13</v>
      </c>
      <c r="B10" s="65"/>
      <c r="C10" s="65"/>
      <c r="D10" s="31">
        <f>SUM(D2:D8)</f>
        <v>49497</v>
      </c>
      <c r="E10" s="31">
        <f>SUM(E2:E8)</f>
        <v>21</v>
      </c>
      <c r="F10" s="31">
        <f>SUM(F2:F8)</f>
        <v>3</v>
      </c>
      <c r="G10" s="31">
        <f t="shared" ref="G10" si="0">SUM(G2:G8)</f>
        <v>5</v>
      </c>
    </row>
    <row r="12" spans="1:7" x14ac:dyDescent="0.25">
      <c r="B12" s="52" t="s">
        <v>57</v>
      </c>
    </row>
    <row r="13" spans="1:7" x14ac:dyDescent="0.25">
      <c r="B13" s="52" t="s">
        <v>61</v>
      </c>
    </row>
  </sheetData>
  <mergeCells count="2">
    <mergeCell ref="B1:C1"/>
    <mergeCell ref="A10:C10"/>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A2:J30"/>
  <sheetViews>
    <sheetView workbookViewId="0">
      <selection activeCell="B2" sqref="B2:G2"/>
    </sheetView>
  </sheetViews>
  <sheetFormatPr defaultColWidth="9.140625" defaultRowHeight="15" x14ac:dyDescent="0.25"/>
  <cols>
    <col min="1" max="1" width="10.85546875" style="4" customWidth="1"/>
    <col min="2" max="2" width="38.42578125" style="4" customWidth="1"/>
    <col min="3" max="5" width="12.140625" style="4" customWidth="1"/>
    <col min="6" max="6" width="13.85546875" style="4" customWidth="1"/>
    <col min="7" max="7" width="45.140625" style="4" customWidth="1"/>
    <col min="8" max="8" width="10.28515625" style="4" bestFit="1" customWidth="1"/>
    <col min="9" max="9" width="9.7109375" style="4" bestFit="1" customWidth="1"/>
    <col min="10" max="16384" width="9.140625" style="4"/>
  </cols>
  <sheetData>
    <row r="2" spans="2:10" ht="23.25" x14ac:dyDescent="0.35">
      <c r="B2" s="67" t="s">
        <v>63</v>
      </c>
      <c r="C2" s="67"/>
      <c r="D2" s="67"/>
      <c r="E2" s="67"/>
      <c r="F2" s="67"/>
      <c r="G2" s="67"/>
    </row>
    <row r="3" spans="2:10" ht="14.25" customHeight="1" x14ac:dyDescent="0.35">
      <c r="B3" s="12"/>
      <c r="C3" s="12"/>
      <c r="D3" s="12"/>
      <c r="E3" s="12"/>
      <c r="F3" s="12"/>
      <c r="G3" s="12"/>
    </row>
    <row r="4" spans="2:10" x14ac:dyDescent="0.25">
      <c r="B4" s="20" t="s">
        <v>39</v>
      </c>
      <c r="C4" s="20"/>
      <c r="D4" s="20"/>
      <c r="E4" s="20"/>
      <c r="F4" s="20"/>
      <c r="G4" s="20"/>
      <c r="H4" s="13"/>
    </row>
    <row r="5" spans="2:10" x14ac:dyDescent="0.25">
      <c r="B5" s="68" t="s">
        <v>38</v>
      </c>
      <c r="C5" s="68"/>
      <c r="D5" s="68"/>
      <c r="E5" s="68"/>
      <c r="F5" s="68"/>
      <c r="G5" s="68"/>
      <c r="H5" s="66"/>
      <c r="I5" s="66"/>
      <c r="J5" s="66"/>
    </row>
    <row r="6" spans="2:10" x14ac:dyDescent="0.25">
      <c r="B6" s="14"/>
      <c r="C6" s="14"/>
      <c r="D6" s="14"/>
      <c r="E6" s="14"/>
      <c r="F6" s="14"/>
      <c r="G6" s="14"/>
      <c r="H6" s="66"/>
      <c r="I6" s="66"/>
      <c r="J6" s="66"/>
    </row>
    <row r="7" spans="2:10" x14ac:dyDescent="0.25">
      <c r="B7" s="6" t="s">
        <v>1</v>
      </c>
      <c r="C7" s="6" t="s">
        <v>2</v>
      </c>
      <c r="D7" s="6" t="s">
        <v>4</v>
      </c>
      <c r="E7" s="6" t="s">
        <v>8</v>
      </c>
      <c r="F7" s="6" t="s">
        <v>9</v>
      </c>
      <c r="G7" s="6" t="s">
        <v>5</v>
      </c>
    </row>
    <row r="8" spans="2:10" x14ac:dyDescent="0.25">
      <c r="B8" s="1" t="s">
        <v>34</v>
      </c>
      <c r="C8" s="1" t="s">
        <v>6</v>
      </c>
      <c r="D8" s="19">
        <f>CEILING(E30,10)</f>
        <v>160</v>
      </c>
      <c r="E8" s="28">
        <f>ROUNDUP((12+12)/4,0)</f>
        <v>6</v>
      </c>
      <c r="F8" s="33">
        <f>E8*D8</f>
        <v>960</v>
      </c>
      <c r="G8" s="34" t="s">
        <v>37</v>
      </c>
      <c r="I8" s="42" t="s">
        <v>32</v>
      </c>
      <c r="J8"/>
    </row>
    <row r="9" spans="2:10" x14ac:dyDescent="0.25">
      <c r="B9" s="3" t="s">
        <v>12</v>
      </c>
      <c r="C9" s="2" t="s">
        <v>6</v>
      </c>
      <c r="D9" s="19">
        <f>CEILING(F24,50)</f>
        <v>3450</v>
      </c>
      <c r="E9" s="30">
        <v>2</v>
      </c>
      <c r="F9" s="33">
        <f>E9*D9</f>
        <v>6900</v>
      </c>
      <c r="G9" s="27" t="s">
        <v>31</v>
      </c>
      <c r="I9" s="42" t="s">
        <v>32</v>
      </c>
    </row>
    <row r="10" spans="2:10" x14ac:dyDescent="0.25">
      <c r="B10" s="3"/>
      <c r="C10" s="2"/>
      <c r="D10" s="21"/>
      <c r="E10" s="10"/>
      <c r="F10" s="22"/>
      <c r="G10" s="9"/>
    </row>
    <row r="11" spans="2:10" x14ac:dyDescent="0.25">
      <c r="B11" s="11" t="s">
        <v>11</v>
      </c>
      <c r="C11" s="1"/>
      <c r="D11" s="8"/>
      <c r="E11" s="7"/>
      <c r="F11" s="22">
        <f>SUM(F8:F9)</f>
        <v>7860</v>
      </c>
      <c r="G11" s="9"/>
    </row>
    <row r="13" spans="2:10" x14ac:dyDescent="0.25">
      <c r="B13" s="4" t="s">
        <v>62</v>
      </c>
    </row>
    <row r="14" spans="2:10" x14ac:dyDescent="0.25">
      <c r="C14" s="36"/>
      <c r="F14" s="16"/>
      <c r="G14" s="16"/>
      <c r="H14" s="16"/>
    </row>
    <row r="15" spans="2:10" x14ac:dyDescent="0.25">
      <c r="B15" s="43" t="s">
        <v>125</v>
      </c>
      <c r="F15" s="16"/>
      <c r="G15" s="16"/>
      <c r="H15" s="16"/>
    </row>
    <row r="16" spans="2:10" x14ac:dyDescent="0.25">
      <c r="B16" s="4" t="s">
        <v>23</v>
      </c>
    </row>
    <row r="17" spans="1:7" x14ac:dyDescent="0.25">
      <c r="A17" s="76" t="s">
        <v>130</v>
      </c>
      <c r="B17" s="4" t="s">
        <v>17</v>
      </c>
      <c r="E17" s="4" t="s">
        <v>24</v>
      </c>
      <c r="F17" s="4" t="s">
        <v>25</v>
      </c>
    </row>
    <row r="18" spans="1:7" x14ac:dyDescent="0.25">
      <c r="A18" s="38" t="s">
        <v>18</v>
      </c>
      <c r="B18" s="39">
        <v>90496</v>
      </c>
      <c r="C18" s="38" t="s">
        <v>19</v>
      </c>
      <c r="D18" s="38" t="s">
        <v>20</v>
      </c>
      <c r="E18" s="40">
        <v>16.676820635999999</v>
      </c>
      <c r="F18" s="40">
        <v>16.138171963000001</v>
      </c>
      <c r="G18" s="40"/>
    </row>
    <row r="19" spans="1:7" x14ac:dyDescent="0.25">
      <c r="A19" s="38" t="s">
        <v>21</v>
      </c>
      <c r="B19" s="39">
        <v>5567</v>
      </c>
      <c r="C19" s="38" t="s">
        <v>19</v>
      </c>
      <c r="D19" s="38" t="s">
        <v>22</v>
      </c>
      <c r="E19" s="40">
        <v>34.424906749999998</v>
      </c>
      <c r="F19" s="40">
        <v>32.168388718999999</v>
      </c>
      <c r="G19" s="40"/>
    </row>
    <row r="21" spans="1:7" x14ac:dyDescent="0.25">
      <c r="B21" s="1" t="s">
        <v>26</v>
      </c>
      <c r="C21" s="1" t="s">
        <v>28</v>
      </c>
      <c r="D21" s="1" t="s">
        <v>29</v>
      </c>
      <c r="E21" s="1" t="s">
        <v>66</v>
      </c>
      <c r="F21" s="1"/>
    </row>
    <row r="22" spans="1:7" x14ac:dyDescent="0.25">
      <c r="B22" s="1" t="s">
        <v>27</v>
      </c>
      <c r="C22" s="1">
        <v>12</v>
      </c>
      <c r="D22" s="1">
        <v>13</v>
      </c>
      <c r="E22" s="1">
        <f>SUM(C22*D22)</f>
        <v>156</v>
      </c>
      <c r="F22" s="8">
        <f>SUM(E22*E18)</f>
        <v>2601.5840192159999</v>
      </c>
    </row>
    <row r="23" spans="1:7" x14ac:dyDescent="0.25">
      <c r="B23" s="1" t="s">
        <v>30</v>
      </c>
      <c r="C23" s="1">
        <v>12</v>
      </c>
      <c r="D23" s="1">
        <v>2</v>
      </c>
      <c r="E23" s="1">
        <f>SUM(C23*D23)</f>
        <v>24</v>
      </c>
      <c r="F23" s="8">
        <f>SUM(E23*E19)</f>
        <v>826.19776200000001</v>
      </c>
    </row>
    <row r="24" spans="1:7" x14ac:dyDescent="0.25">
      <c r="B24" s="1"/>
      <c r="C24" s="1"/>
      <c r="D24" s="1"/>
      <c r="E24" s="1"/>
      <c r="F24" s="48">
        <f>SUM(F22:F23)</f>
        <v>3427.7817812160001</v>
      </c>
    </row>
    <row r="26" spans="1:7" x14ac:dyDescent="0.25">
      <c r="B26" s="4" t="s">
        <v>23</v>
      </c>
      <c r="E26" s="4" t="s">
        <v>24</v>
      </c>
      <c r="F26" s="4" t="s">
        <v>25</v>
      </c>
    </row>
    <row r="27" spans="1:7" x14ac:dyDescent="0.25">
      <c r="A27" s="38" t="s">
        <v>35</v>
      </c>
      <c r="B27" s="39">
        <v>324</v>
      </c>
      <c r="C27" s="38" t="s">
        <v>33</v>
      </c>
      <c r="D27" s="38" t="s">
        <v>36</v>
      </c>
      <c r="E27" s="40">
        <v>13.158016</v>
      </c>
      <c r="F27" s="40">
        <v>13.929012346</v>
      </c>
      <c r="G27" s="40"/>
    </row>
    <row r="28" spans="1:7" x14ac:dyDescent="0.25">
      <c r="A28" s="38"/>
      <c r="B28" s="45" t="s">
        <v>43</v>
      </c>
      <c r="C28" s="46"/>
      <c r="D28" s="46"/>
      <c r="E28" s="47"/>
      <c r="F28" s="40"/>
      <c r="G28" s="40"/>
    </row>
    <row r="29" spans="1:7" x14ac:dyDescent="0.25">
      <c r="B29" s="1" t="s">
        <v>85</v>
      </c>
      <c r="C29" s="1"/>
      <c r="D29" s="1" t="s">
        <v>29</v>
      </c>
      <c r="E29" s="1"/>
    </row>
    <row r="30" spans="1:7" x14ac:dyDescent="0.25">
      <c r="B30" s="1"/>
      <c r="C30" s="1"/>
      <c r="D30" s="1">
        <v>12</v>
      </c>
      <c r="E30" s="48">
        <f>SUM(D30*E27)</f>
        <v>157.89619199999999</v>
      </c>
      <c r="F30" s="41"/>
    </row>
  </sheetData>
  <mergeCells count="3">
    <mergeCell ref="H5:J6"/>
    <mergeCell ref="B2:G2"/>
    <mergeCell ref="B5:G5"/>
  </mergeCells>
  <pageMargins left="0.7" right="0.7" top="0.75" bottom="0.75" header="0.3" footer="0.3"/>
  <pageSetup scale="73"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pageSetUpPr fitToPage="1"/>
  </sheetPr>
  <dimension ref="B2:J21"/>
  <sheetViews>
    <sheetView topLeftCell="A2" workbookViewId="0">
      <selection activeCell="E10" sqref="E10"/>
    </sheetView>
  </sheetViews>
  <sheetFormatPr defaultColWidth="9.140625" defaultRowHeight="15" x14ac:dyDescent="0.25"/>
  <cols>
    <col min="1" max="1" width="9.140625" style="4"/>
    <col min="2" max="2" width="35" style="4" customWidth="1"/>
    <col min="3" max="6" width="12.140625" style="4" customWidth="1"/>
    <col min="7" max="7" width="35" style="4" customWidth="1"/>
    <col min="8" max="8" width="10.28515625" style="4" bestFit="1" customWidth="1"/>
    <col min="9" max="9" width="9.7109375" style="4" bestFit="1" customWidth="1"/>
    <col min="10" max="16384" width="9.140625" style="4"/>
  </cols>
  <sheetData>
    <row r="2" spans="2:10" ht="23.25" x14ac:dyDescent="0.35">
      <c r="B2" s="67" t="s">
        <v>65</v>
      </c>
      <c r="C2" s="67"/>
      <c r="D2" s="67"/>
      <c r="E2" s="67"/>
      <c r="F2" s="67"/>
      <c r="G2" s="67"/>
    </row>
    <row r="3" spans="2:10" ht="14.25" customHeight="1" x14ac:dyDescent="0.35">
      <c r="B3" s="17"/>
      <c r="C3" s="17"/>
      <c r="D3" s="17"/>
      <c r="E3" s="17"/>
      <c r="F3" s="17"/>
      <c r="G3" s="17"/>
    </row>
    <row r="4" spans="2:10" x14ac:dyDescent="0.25">
      <c r="B4" s="37" t="s">
        <v>39</v>
      </c>
      <c r="C4" s="37"/>
      <c r="D4" s="37"/>
      <c r="E4" s="37"/>
      <c r="F4" s="37"/>
      <c r="G4" s="37"/>
      <c r="H4" s="13"/>
    </row>
    <row r="5" spans="2:10" x14ac:dyDescent="0.25">
      <c r="B5" s="68" t="s">
        <v>38</v>
      </c>
      <c r="C5" s="68"/>
      <c r="D5" s="68"/>
      <c r="E5" s="68"/>
      <c r="F5" s="68"/>
      <c r="G5" s="68"/>
      <c r="H5" s="13"/>
    </row>
    <row r="6" spans="2:10" x14ac:dyDescent="0.25">
      <c r="B6" s="69"/>
      <c r="C6" s="69"/>
      <c r="D6" s="69"/>
      <c r="E6" s="69"/>
      <c r="F6" s="69"/>
      <c r="G6" s="69"/>
      <c r="H6" s="44"/>
      <c r="I6" s="44"/>
      <c r="J6" s="44"/>
    </row>
    <row r="7" spans="2:10" x14ac:dyDescent="0.25">
      <c r="B7" s="68"/>
      <c r="C7" s="68"/>
      <c r="D7" s="68"/>
      <c r="E7" s="68"/>
      <c r="F7" s="68"/>
      <c r="G7" s="68"/>
      <c r="H7" s="44"/>
      <c r="I7" s="44"/>
      <c r="J7" s="44"/>
    </row>
    <row r="8" spans="2:10" x14ac:dyDescent="0.25">
      <c r="B8" s="14"/>
      <c r="C8" s="14"/>
      <c r="D8" s="14"/>
      <c r="E8" s="14"/>
      <c r="F8" s="14"/>
      <c r="G8" s="14"/>
      <c r="H8" s="44"/>
      <c r="I8" s="44"/>
      <c r="J8" s="44"/>
    </row>
    <row r="9" spans="2:10" x14ac:dyDescent="0.25">
      <c r="B9" s="6" t="s">
        <v>1</v>
      </c>
      <c r="C9" s="6" t="s">
        <v>2</v>
      </c>
      <c r="D9" s="6" t="s">
        <v>4</v>
      </c>
      <c r="E9" s="6" t="s">
        <v>8</v>
      </c>
      <c r="F9" s="6" t="s">
        <v>9</v>
      </c>
      <c r="G9" s="6" t="s">
        <v>5</v>
      </c>
    </row>
    <row r="10" spans="2:10" x14ac:dyDescent="0.25">
      <c r="B10" s="1" t="s">
        <v>34</v>
      </c>
      <c r="C10" s="1" t="s">
        <v>6</v>
      </c>
      <c r="D10" s="19">
        <f>'Intersection - One Leg'!D8</f>
        <v>160</v>
      </c>
      <c r="E10" s="28">
        <f>ROUNDUP((12+12)/4,0)*2</f>
        <v>12</v>
      </c>
      <c r="F10" s="29">
        <f>E10*D10</f>
        <v>1920</v>
      </c>
      <c r="G10" s="34" t="s">
        <v>37</v>
      </c>
      <c r="H10"/>
      <c r="I10"/>
      <c r="J10"/>
    </row>
    <row r="11" spans="2:10" x14ac:dyDescent="0.25">
      <c r="B11" s="3" t="s">
        <v>12</v>
      </c>
      <c r="C11" s="2" t="s">
        <v>6</v>
      </c>
      <c r="D11" s="19">
        <f>'Intersection - One Leg'!D9</f>
        <v>3450</v>
      </c>
      <c r="E11" s="30">
        <v>4</v>
      </c>
      <c r="F11" s="29">
        <f t="shared" ref="F11" si="0">E11*D11</f>
        <v>13800</v>
      </c>
      <c r="G11" s="27" t="s">
        <v>31</v>
      </c>
    </row>
    <row r="12" spans="2:10" x14ac:dyDescent="0.25">
      <c r="B12" s="3"/>
      <c r="C12" s="2"/>
      <c r="D12" s="8"/>
      <c r="E12" s="10"/>
      <c r="F12" s="15"/>
      <c r="G12" s="9"/>
    </row>
    <row r="13" spans="2:10" x14ac:dyDescent="0.25">
      <c r="B13" s="11" t="s">
        <v>11</v>
      </c>
      <c r="C13" s="1"/>
      <c r="D13" s="8"/>
      <c r="E13" s="7"/>
      <c r="F13" s="15">
        <f>SUM(F10:F12)</f>
        <v>15720</v>
      </c>
      <c r="G13" s="9"/>
    </row>
    <row r="15" spans="2:10" x14ac:dyDescent="0.25">
      <c r="B15" s="4" t="s">
        <v>64</v>
      </c>
    </row>
    <row r="17" spans="2:8" x14ac:dyDescent="0.25">
      <c r="B17" s="26"/>
    </row>
    <row r="18" spans="2:8" x14ac:dyDescent="0.25">
      <c r="B18" s="26"/>
      <c r="F18" s="16"/>
      <c r="G18" s="16"/>
      <c r="H18" s="16"/>
    </row>
    <row r="19" spans="2:8" x14ac:dyDescent="0.25">
      <c r="F19" s="16"/>
      <c r="G19" s="16"/>
      <c r="H19" s="16"/>
    </row>
    <row r="20" spans="2:8" x14ac:dyDescent="0.25">
      <c r="F20" s="16"/>
      <c r="G20" s="16"/>
      <c r="H20" s="16"/>
    </row>
    <row r="21" spans="2:8" x14ac:dyDescent="0.25">
      <c r="F21" s="16"/>
      <c r="G21" s="16"/>
      <c r="H21" s="16"/>
    </row>
  </sheetData>
  <mergeCells count="4">
    <mergeCell ref="B7:G7"/>
    <mergeCell ref="B2:G2"/>
    <mergeCell ref="B5:G5"/>
    <mergeCell ref="B6:G6"/>
  </mergeCells>
  <pageMargins left="0.7" right="0.7" top="0.75" bottom="0.75" header="0.3" footer="0.3"/>
  <pageSetup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667C1-DD51-45BA-942A-D1EEC5A1EDA2}">
  <sheetPr>
    <tabColor theme="9" tint="0.59999389629810485"/>
    <pageSetUpPr fitToPage="1"/>
  </sheetPr>
  <dimension ref="A2:J23"/>
  <sheetViews>
    <sheetView topLeftCell="A14" workbookViewId="0">
      <selection activeCell="B3" sqref="B3"/>
    </sheetView>
  </sheetViews>
  <sheetFormatPr defaultColWidth="9.140625" defaultRowHeight="15" x14ac:dyDescent="0.25"/>
  <cols>
    <col min="1" max="1" width="11" style="4" customWidth="1"/>
    <col min="2" max="2" width="54.28515625" style="4" customWidth="1"/>
    <col min="3" max="6" width="12.140625" style="4" customWidth="1"/>
    <col min="7" max="7" width="35" style="4" customWidth="1"/>
    <col min="8" max="8" width="10.28515625" style="4" bestFit="1" customWidth="1"/>
    <col min="9" max="9" width="9.7109375" style="4" bestFit="1" customWidth="1"/>
    <col min="10" max="16384" width="9.140625" style="4"/>
  </cols>
  <sheetData>
    <row r="2" spans="1:10" ht="23.25" x14ac:dyDescent="0.35">
      <c r="B2" s="67" t="s">
        <v>131</v>
      </c>
      <c r="C2" s="67"/>
      <c r="D2" s="67"/>
      <c r="E2" s="67"/>
      <c r="F2" s="67"/>
      <c r="G2" s="67"/>
    </row>
    <row r="3" spans="1:10" ht="14.25" customHeight="1" x14ac:dyDescent="0.35">
      <c r="B3" s="53"/>
      <c r="C3" s="53"/>
      <c r="D3" s="53"/>
      <c r="E3" s="53"/>
      <c r="F3" s="53"/>
      <c r="G3" s="53"/>
    </row>
    <row r="4" spans="1:10" x14ac:dyDescent="0.25">
      <c r="B4" s="54" t="s">
        <v>39</v>
      </c>
      <c r="C4" s="54"/>
      <c r="D4" s="54"/>
      <c r="E4" s="54"/>
      <c r="F4" s="54"/>
      <c r="G4" s="54"/>
      <c r="H4" s="13"/>
    </row>
    <row r="5" spans="1:10" x14ac:dyDescent="0.25">
      <c r="B5" s="68" t="s">
        <v>38</v>
      </c>
      <c r="C5" s="68"/>
      <c r="D5" s="68"/>
      <c r="E5" s="68"/>
      <c r="F5" s="68"/>
      <c r="G5" s="68"/>
      <c r="H5" s="13"/>
    </row>
    <row r="6" spans="1:10" x14ac:dyDescent="0.25">
      <c r="B6" s="69"/>
      <c r="C6" s="69"/>
      <c r="D6" s="69"/>
      <c r="E6" s="69"/>
      <c r="F6" s="69"/>
      <c r="G6" s="69"/>
      <c r="H6" s="44"/>
      <c r="I6" s="44"/>
      <c r="J6" s="44"/>
    </row>
    <row r="7" spans="1:10" x14ac:dyDescent="0.25">
      <c r="B7" s="68"/>
      <c r="C7" s="68"/>
      <c r="D7" s="68"/>
      <c r="E7" s="68"/>
      <c r="F7" s="68"/>
      <c r="G7" s="68"/>
      <c r="H7" s="44"/>
      <c r="I7" s="44"/>
      <c r="J7" s="44"/>
    </row>
    <row r="8" spans="1:10" x14ac:dyDescent="0.25">
      <c r="B8" s="14"/>
      <c r="C8" s="14"/>
      <c r="D8" s="14"/>
      <c r="E8" s="14"/>
      <c r="F8" s="14"/>
      <c r="G8" s="14"/>
      <c r="H8" s="44"/>
      <c r="I8" s="44"/>
      <c r="J8" s="44"/>
    </row>
    <row r="9" spans="1:10" x14ac:dyDescent="0.25">
      <c r="A9" s="75" t="s">
        <v>101</v>
      </c>
      <c r="B9" s="6" t="s">
        <v>1</v>
      </c>
      <c r="C9" s="6" t="s">
        <v>2</v>
      </c>
      <c r="D9" s="6" t="s">
        <v>4</v>
      </c>
      <c r="E9" s="6" t="s">
        <v>8</v>
      </c>
      <c r="F9" s="6" t="s">
        <v>9</v>
      </c>
      <c r="G9" s="6" t="s">
        <v>5</v>
      </c>
    </row>
    <row r="10" spans="1:10" x14ac:dyDescent="0.25">
      <c r="A10" s="72" t="s">
        <v>126</v>
      </c>
      <c r="B10" s="1" t="s">
        <v>117</v>
      </c>
      <c r="C10" s="1" t="s">
        <v>6</v>
      </c>
      <c r="D10" s="19">
        <v>632</v>
      </c>
      <c r="E10" s="28">
        <v>2</v>
      </c>
      <c r="F10" s="29">
        <f>E10*D10</f>
        <v>1264</v>
      </c>
      <c r="G10" s="27" t="s">
        <v>31</v>
      </c>
      <c r="H10"/>
      <c r="I10"/>
      <c r="J10"/>
    </row>
    <row r="11" spans="1:10" x14ac:dyDescent="0.25">
      <c r="A11" s="73" t="s">
        <v>127</v>
      </c>
      <c r="B11" s="3" t="s">
        <v>118</v>
      </c>
      <c r="C11" s="2" t="s">
        <v>6</v>
      </c>
      <c r="D11" s="19">
        <v>765</v>
      </c>
      <c r="E11" s="30">
        <v>2</v>
      </c>
      <c r="F11" s="29">
        <f t="shared" ref="F11:F13" si="0">E11*D11</f>
        <v>1530</v>
      </c>
      <c r="G11" s="27" t="s">
        <v>31</v>
      </c>
    </row>
    <row r="12" spans="1:10" x14ac:dyDescent="0.25">
      <c r="A12" s="74" t="s">
        <v>128</v>
      </c>
      <c r="B12" s="3" t="s">
        <v>119</v>
      </c>
      <c r="C12" s="2" t="s">
        <v>6</v>
      </c>
      <c r="D12" s="19">
        <v>917</v>
      </c>
      <c r="E12" s="30">
        <v>2</v>
      </c>
      <c r="F12" s="29">
        <f t="shared" si="0"/>
        <v>1834</v>
      </c>
      <c r="G12" s="27" t="s">
        <v>31</v>
      </c>
    </row>
    <row r="13" spans="1:10" x14ac:dyDescent="0.25">
      <c r="A13" s="74" t="s">
        <v>129</v>
      </c>
      <c r="B13" s="3" t="s">
        <v>120</v>
      </c>
      <c r="C13" s="2" t="s">
        <v>6</v>
      </c>
      <c r="D13" s="19">
        <v>625</v>
      </c>
      <c r="E13" s="30">
        <v>2</v>
      </c>
      <c r="F13" s="29">
        <f t="shared" si="0"/>
        <v>1250</v>
      </c>
      <c r="G13" s="27" t="s">
        <v>121</v>
      </c>
    </row>
    <row r="14" spans="1:10" x14ac:dyDescent="0.25">
      <c r="B14" s="3"/>
      <c r="C14" s="2"/>
      <c r="D14" s="8"/>
      <c r="E14" s="10"/>
      <c r="F14" s="15"/>
      <c r="G14" s="9"/>
    </row>
    <row r="15" spans="1:10" x14ac:dyDescent="0.25">
      <c r="B15" s="11" t="s">
        <v>11</v>
      </c>
      <c r="C15" s="1"/>
      <c r="D15" s="8"/>
      <c r="E15" s="7"/>
      <c r="F15" s="15">
        <f>SUM(F10:F13)</f>
        <v>5878</v>
      </c>
      <c r="G15" s="9"/>
    </row>
    <row r="17" spans="2:8" x14ac:dyDescent="0.25">
      <c r="B17" s="4" t="s">
        <v>62</v>
      </c>
    </row>
    <row r="19" spans="2:8" x14ac:dyDescent="0.25">
      <c r="B19" s="26"/>
    </row>
    <row r="20" spans="2:8" x14ac:dyDescent="0.25">
      <c r="B20" s="26"/>
      <c r="F20" s="16"/>
      <c r="G20" s="16"/>
      <c r="H20" s="16"/>
    </row>
    <row r="21" spans="2:8" x14ac:dyDescent="0.25">
      <c r="F21" s="16"/>
      <c r="G21" s="16"/>
      <c r="H21" s="16"/>
    </row>
    <row r="22" spans="2:8" x14ac:dyDescent="0.25">
      <c r="F22" s="16"/>
      <c r="G22" s="16"/>
      <c r="H22" s="16"/>
    </row>
    <row r="23" spans="2:8" x14ac:dyDescent="0.25">
      <c r="F23" s="16"/>
      <c r="G23" s="16"/>
      <c r="H23" s="16"/>
    </row>
  </sheetData>
  <mergeCells count="4">
    <mergeCell ref="B2:G2"/>
    <mergeCell ref="B5:G5"/>
    <mergeCell ref="B6:G6"/>
    <mergeCell ref="B7:G7"/>
  </mergeCells>
  <phoneticPr fontId="13" type="noConversion"/>
  <pageMargins left="0.7" right="0.7" top="0.75" bottom="0.75" header="0.3" footer="0.3"/>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Conceptual Estimate</vt:lpstr>
      <vt:lpstr>Trail Quantities</vt:lpstr>
      <vt:lpstr>Calcs</vt:lpstr>
      <vt:lpstr>Intersection - One Leg</vt:lpstr>
      <vt:lpstr>Intersection - Two Legs</vt:lpstr>
      <vt:lpstr>Pedestrian -Signal 1 Leg</vt:lpstr>
      <vt:lpstr>'Intersection - One Leg'!Print_Area</vt:lpstr>
      <vt:lpstr>'Intersection - Two Legs'!Print_Area</vt:lpstr>
      <vt:lpstr>'Pedestrian -Signal 1 Leg'!Print_Area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 Colman</dc:creator>
  <cp:lastModifiedBy>Katie O'Lone</cp:lastModifiedBy>
  <cp:lastPrinted>2021-03-12T20:17:19Z</cp:lastPrinted>
  <dcterms:created xsi:type="dcterms:W3CDTF">2020-03-20T14:23:52Z</dcterms:created>
  <dcterms:modified xsi:type="dcterms:W3CDTF">2021-03-12T20:18:52Z</dcterms:modified>
</cp:coreProperties>
</file>